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<sst xmlns="http://schemas.openxmlformats.org/spreadsheetml/2006/main" count="253" uniqueCount="180">
  <si>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</si>
  <si>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</si>
  <si>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</si>
  <si>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</si>
  <si>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</si>
  <si>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</si>
  <si>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</si>
  <si>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</si>
  <si>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</si>
  <si>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</si>
  <si>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</si>
  <si>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</si>
  <si>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</si>
  <si>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</si>
  <si>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</si>
  <si>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</si>
  <si>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</si>
  <si>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</si>
  <si>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</si>
  <si>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</si>
  <si>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</si>
  <si>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</si>
  <si>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</si>
  <si>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</si>
  <si>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</si>
  <si>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</si>
  <si>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</si>
  <si>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</si>
  <si>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</si>
  <si>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</si>
  <si>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</si>
  <si>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</si>
  <si>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</si>
  <si>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</si>
  <si>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</si>
  <si>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</si>
  <si>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</si>
  <si>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</si>
  <si>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</si>
  <si>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</si>
  <si>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</si>
  <si>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</si>
  <si>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</si>
  <si>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</si>
  <si>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</si>
  <si>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</si>
  <si>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</si>
  <si>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</si>
  <si>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</si>
  <si>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</si>
  <si>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</si>
  <si>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</si>
  <si>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</si>
  <si>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</si>
  <si>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</si>
  <si>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</si>
  <si>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</si>
  <si>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</si>
  <si>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</si>
  <si>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</si>
  <si>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</si>
  <si>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</si>
  <si>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</si>
  <si>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</si>
  <si>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</si>
  <si>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</si>
  <si>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</si>
  <si>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</si>
  <si>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</si>
  <si>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</si>
  <si>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</si>
  <si>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</si>
  <si>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</si>
  <si>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</si>
  <si>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</si>
  <si>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</si>
  <si>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</si>
  <si>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</si>
  <si>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</si>
  <si>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</si>
  <si>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</si>
  <si>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</si>
  <si>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</si>
  <si>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</si>
  <si>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</si>
  <si>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</si>
  <si>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</si>
  <si>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</si>
  <si>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</si>
  <si>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</si>
  <si>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</si>
  <si>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</si>
  <si>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</si>
  <si>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</si>
  <si>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</si>
  <si>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</si>
  <si>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</si>
  <si>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</si>
  <si>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</si>
  <si>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</si>
  <si>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</si>
  <si>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</si>
  <si>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</si>
  <si>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</si>
  <si>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</si>
  <si>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</si>
  <si>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</si>
  <si>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</si>
  <si>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</si>
  <si>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</si>
  <si>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</si>
  <si>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</si>
  <si>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</si>
  <si>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</si>
  <si>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</si>
  <si>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</si>
  <si>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</si>
  <si>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</si>
  <si>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</si>
  <si>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</si>
  <si>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</si>
  <si>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</si>
  <si>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</si>
  <si>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</si>
  <si>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</si>
  <si>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</si>
  <si>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</si>
  <si>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</si>
  <si>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</si>
  <si>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</si>
  <si>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</si>
  <si>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</si>
  <si>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</si>
  <si>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</si>
  <si>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</si>
  <si>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</si>
  <si>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</si>
  <si>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</si>
  <si>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</si>
  <si>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</si>
  <si>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</si>
  <si>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</si>
  <si>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</si>
  <si>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</si>
  <si>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</si>
  <si>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</si>
  <si>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</si>
  <si>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</si>
  <si>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</si>
  <si>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</si>
  <si>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</si>
  <si>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</si>
  <si>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</si>
  <si>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</si>
  <si>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</si>
  <si>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</si>
  <si>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</si>
  <si>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</si>
  <si>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</si>
  <si>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</si>
  <si>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</si>
  <si>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</si>
  <si>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</si>
  <si>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</si>
  <si>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</si>
  <si>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</si>
  <si>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</si>
  <si>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</si>
  <si>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</si>
  <si>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</si>
  <si>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</si>
  <si>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</si>
  <si>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</si>
  <si>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</si>
  <si>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</si>
  <si>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руб./м2</t>
  </si>
  <si>
    <t>содержание лифта</t>
  </si>
  <si>
    <t xml:space="preserve">      Электроэнергия (ОДН), норматив, кВт/м2</t>
  </si>
  <si>
    <t>Тариф на содержание жилья по МКД № 60а по пр. Б.Хмельницкого с 01.07.2020.по 01.07.2021.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</si>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</sst>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8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R102" sqref="R10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</cols>
  <sheetData>
    <row r="1" spans="1:19" ht="49.5" customHeight="1">
      <c r="A1" s="77" t="s">
        <v>178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175</v>
      </c>
      <c r="S2" s="58" t="s">
        <v>174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0">
        <f>'[2]ноябрь'!$AC$3</f>
        <v>2300.6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2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3">
        <f>R80+R85+R90+R95+R101+R110+R111</f>
        <v>15.457927291106225</v>
      </c>
      <c r="S79" s="18">
        <f>S80+S85+S90+S95+S101+S110+S111+S115</f>
        <v>1367.936</v>
      </c>
      <c r="T79" s="69">
        <f>R79*$T$3*6/1000</f>
        <v>213.3750451555139</v>
      </c>
      <c r="V79" s="71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4">
        <f>R81+R82+R83+R84</f>
        <v>0.4755637964086088</v>
      </c>
      <c r="S80" s="18">
        <f>'[1]янв'!T80*2+'[1]март'!T80*4+'[1]июль'!T80*6</f>
        <v>169.022</v>
      </c>
      <c r="T80" s="69">
        <f aca="true" t="shared" si="17" ref="T80:T115">R80*$T$3*6/1000</f>
        <v>6.564492420105871</v>
      </c>
      <c r="U80" s="71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5">
        <v>0.24</v>
      </c>
      <c r="S81" s="26">
        <f>'[1]янв'!T81*2+'[1]март'!T81*4+'[1]июль'!T81*6</f>
        <v>6.28</v>
      </c>
      <c r="T81" s="69">
        <f t="shared" si="17"/>
        <v>3.3128640000000003</v>
      </c>
      <c r="U81" s="71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5">
        <v>0.12110132812696242</v>
      </c>
      <c r="S82" s="26">
        <f>'[1]янв'!T82*2+'[1]март'!T82*4+'[1]июль'!T82*6</f>
        <v>30.146</v>
      </c>
      <c r="T82" s="69">
        <f t="shared" si="17"/>
        <v>1.6716342929333388</v>
      </c>
      <c r="U82" s="71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5">
        <v>0.02446246828164641</v>
      </c>
      <c r="S83" s="26">
        <f>'[1]янв'!T83*2+'[1]март'!T83*4+'[1]июль'!T83*6</f>
        <v>6.066</v>
      </c>
      <c r="T83" s="69">
        <f t="shared" si="17"/>
        <v>0.33767012717253436</v>
      </c>
      <c r="U83" s="71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5">
        <v>0.09</v>
      </c>
      <c r="S84" s="26">
        <f>'[1]янв'!T84*2+'[1]март'!T84*4+'[1]июль'!T84*6</f>
        <v>126.53</v>
      </c>
      <c r="T84" s="69">
        <f t="shared" si="17"/>
        <v>1.2423239999999998</v>
      </c>
      <c r="U84" s="71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4">
        <f>R86+R87+R88+R89</f>
        <v>2.1146379402513666</v>
      </c>
      <c r="S85" s="18">
        <f>'[1]янв'!T85*2+'[1]март'!T85*4+'[1]июль'!T85*6</f>
        <v>140.35</v>
      </c>
      <c r="T85" s="69">
        <f t="shared" si="17"/>
        <v>29.189616272053765</v>
      </c>
      <c r="U85" s="71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6">
        <v>1.213752284255711</v>
      </c>
      <c r="S86" s="63">
        <f>'[1]янв'!T86*2+'[1]март'!T86*4+'[1]июль'!T86*6</f>
        <v>55.972</v>
      </c>
      <c r="T86" s="69">
        <f t="shared" si="17"/>
        <v>16.75415103095213</v>
      </c>
      <c r="U86" s="71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5">
        <v>0.6582420856132882</v>
      </c>
      <c r="S87" s="18">
        <f>'[1]янв'!T87*2+'[1]март'!T87*4+'[1]июль'!T87*6</f>
        <v>50.245999999999995</v>
      </c>
      <c r="T87" s="69">
        <f t="shared" si="17"/>
        <v>9.086110452971585</v>
      </c>
      <c r="U87" s="71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5">
        <v>0.13255145390331038</v>
      </c>
      <c r="S88" s="18">
        <f>'[1]янв'!T88*2+'[1]март'!T88*4+'[1]июль'!T88*6</f>
        <v>10.102</v>
      </c>
      <c r="T88" s="69">
        <f t="shared" si="17"/>
        <v>1.8296872490997351</v>
      </c>
      <c r="U88" s="71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5">
        <v>0.11009211647905677</v>
      </c>
      <c r="S89" s="18">
        <f>'[1]янв'!T89*2+'[1]март'!T89*4+'[1]июль'!T89*6</f>
        <v>24.03</v>
      </c>
      <c r="T89" s="69">
        <f t="shared" si="17"/>
        <v>1.519667539030308</v>
      </c>
      <c r="U89" s="71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4">
        <f>R91+R92+R93+R94</f>
        <v>8.148025208772346</v>
      </c>
      <c r="S90" s="18">
        <f>'[1]янв'!T90*2+'[1]март'!T90*4+'[1]июль'!T90*6</f>
        <v>573.612</v>
      </c>
      <c r="T90" s="69">
        <f t="shared" si="17"/>
        <v>112.47208077180996</v>
      </c>
      <c r="U90" s="71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5">
        <v>0.8085049217315392</v>
      </c>
      <c r="S91" s="26">
        <f>'[1]янв'!T91*2+'[1]март'!T91*4+'[1]июль'!T91*6</f>
        <v>69.68</v>
      </c>
      <c r="T91" s="69">
        <f t="shared" si="17"/>
        <v>11.160278537613474</v>
      </c>
      <c r="U91" s="71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5">
        <v>6.015211071780013</v>
      </c>
      <c r="S92" s="26">
        <f>'[1]янв'!T92*2+'[1]март'!T92*4+'[1]июль'!T92*6</f>
        <v>362.262</v>
      </c>
      <c r="T92" s="69">
        <f t="shared" si="17"/>
        <v>83.03156755042258</v>
      </c>
      <c r="U92" s="71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5">
        <v>1.2150726364995628</v>
      </c>
      <c r="S93" s="26">
        <f>'[1]янв'!T93*2+'[1]март'!T93*4+'[1]июль'!T93*6</f>
        <v>72.868</v>
      </c>
      <c r="T93" s="69">
        <f t="shared" si="17"/>
        <v>16.772376645185364</v>
      </c>
      <c r="U93" s="71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5">
        <v>0.10923657876122994</v>
      </c>
      <c r="S94" s="26">
        <f>'[1]янв'!T94*2+'[1]март'!T94*4+'[1]июль'!T94*6</f>
        <v>68.802</v>
      </c>
      <c r="T94" s="69">
        <f t="shared" si="17"/>
        <v>1.5078580385885136</v>
      </c>
      <c r="U94" s="71"/>
    </row>
    <row r="95" spans="1:21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4">
        <f>SUM(R96:R100)</f>
        <v>3.417667813793015</v>
      </c>
      <c r="S95" s="18">
        <f>'[1]янв'!T96*2+'[1]март'!T96*4+'[1]июль'!T96*6</f>
        <v>272.534</v>
      </c>
      <c r="T95" s="69">
        <f t="shared" si="17"/>
        <v>47.17611943447326</v>
      </c>
      <c r="U95" s="71"/>
    </row>
    <row r="96" spans="1:21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5">
        <v>2.4882819038923887</v>
      </c>
      <c r="S96" s="26">
        <f>'[1]янв'!T97*2+'[1]март'!T97*4+'[1]июль'!T97*6</f>
        <v>197.00799999999998</v>
      </c>
      <c r="T96" s="69">
        <f t="shared" si="17"/>
        <v>34.347248088568975</v>
      </c>
      <c r="U96" s="71"/>
    </row>
    <row r="97" spans="1:21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5">
        <v>0.4988817977741262</v>
      </c>
      <c r="S97" s="26">
        <f>'[1]янв'!T98*2+'[1]март'!T98*4+'[1]июль'!T98*6</f>
        <v>39.58</v>
      </c>
      <c r="T97" s="69">
        <f t="shared" si="17"/>
        <v>6.886364783754928</v>
      </c>
      <c r="U97" s="71"/>
    </row>
    <row r="98" spans="1:21" ht="29.25" customHeight="1">
      <c r="A98" s="28" t="s">
        <v>171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5">
        <v>0.19650703863097482</v>
      </c>
      <c r="S98" s="26">
        <f>'[1]янв'!T99*2+'[1]март'!T99*4+'[1]июль'!T99*6</f>
        <v>12.733999999999998</v>
      </c>
      <c r="T98" s="69">
        <f t="shared" si="17"/>
        <v>2.7125045584465237</v>
      </c>
      <c r="U98" s="71"/>
    </row>
    <row r="99" spans="1:21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5">
        <v>0.03812085345445517</v>
      </c>
      <c r="S99" s="26">
        <f>'[1]янв'!T100*2+'[1]март'!T100*4+'[1]июль'!T100*6</f>
        <v>12.687999999999999</v>
      </c>
      <c r="T99" s="69">
        <f t="shared" si="17"/>
        <v>0.5262050127439173</v>
      </c>
      <c r="U99" s="71"/>
    </row>
    <row r="100" spans="1:23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5">
        <v>0.19587622004107005</v>
      </c>
      <c r="S100" s="26">
        <f>'[1]янв'!T101*2+'[1]март'!T101*4+'[1]июль'!T101*6</f>
        <v>10.524000000000001</v>
      </c>
      <c r="T100" s="69">
        <f t="shared" si="17"/>
        <v>2.7037969909589146</v>
      </c>
      <c r="U100" s="71"/>
      <c r="W100">
        <v>0.28</v>
      </c>
    </row>
    <row r="101" spans="1:21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4">
        <f>R102+R103+R104+R107+R108+R109</f>
        <v>0.7394148423497859</v>
      </c>
      <c r="S101" s="18">
        <f>'[1]янв'!T102*2+'[1]март'!T102*4+'[1]июль'!T102*6</f>
        <v>76.61599999999999</v>
      </c>
      <c r="T101" s="69">
        <f t="shared" si="17"/>
        <v>10.206586717859503</v>
      </c>
      <c r="U101" s="71"/>
    </row>
    <row r="102" spans="1:21" ht="15.75" customHeight="1">
      <c r="A102" s="22" t="s">
        <v>179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5">
        <v>0.22539987901481084</v>
      </c>
      <c r="S102" s="26">
        <f>'[1]янв'!T103*2+'[1]март'!T103*4+'[1]июль'!T103*6</f>
        <v>23.412</v>
      </c>
      <c r="T102" s="69">
        <f t="shared" si="17"/>
        <v>3.111329769968843</v>
      </c>
      <c r="U102" s="71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5">
        <v>0.2853996182864845</v>
      </c>
      <c r="S103" s="26">
        <f>'[1]янв'!T105*2+'[1]март'!T105*4+'[1]июль'!T105*6</f>
        <v>31.118000000000002</v>
      </c>
      <c r="T103" s="69">
        <f t="shared" si="17"/>
        <v>3.939542170979318</v>
      </c>
      <c r="U103" s="71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5">
        <v>0.02485699365405566</v>
      </c>
      <c r="S104" s="26">
        <f>'[1]янв'!T106*2+'[1]март'!T106*4+'[1]июль'!T106*6</f>
        <v>2.4800000000000004</v>
      </c>
      <c r="T104" s="69">
        <f t="shared" si="17"/>
        <v>0.3431159976031227</v>
      </c>
      <c r="U104" s="71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5">
        <v>0.02071162420441467</v>
      </c>
      <c r="S105" s="26">
        <f>'[1]янв'!T107*2+'[1]март'!T107*4+'[1]июль'!T107*6</f>
        <v>2.058</v>
      </c>
      <c r="T105" s="69">
        <f t="shared" si="17"/>
        <v>0.28589497586805834</v>
      </c>
      <c r="U105" s="71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26">
        <v>0.004145369449640983</v>
      </c>
      <c r="S106" s="26">
        <f>'[1]янв'!T108*2+'[1]март'!T108*4+'[1]июль'!T108*6</f>
        <v>0.422</v>
      </c>
      <c r="T106" s="69">
        <f t="shared" si="17"/>
        <v>0.05722102173506427</v>
      </c>
      <c r="U106" s="71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5">
        <v>0.006750178365859173</v>
      </c>
      <c r="S107" s="26">
        <f>'[1]янв'!T109*2+'[1]март'!T109*4+'[1]июль'!T109*6</f>
        <v>0.33</v>
      </c>
      <c r="T107" s="69">
        <f t="shared" si="17"/>
        <v>0.09317676209097367</v>
      </c>
      <c r="U107" s="71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5">
        <v>0.0428792099578962</v>
      </c>
      <c r="S108" s="26">
        <f>'[1]янв'!T110*2+'[1]март'!T110*4+'[1]июль'!T110*6</f>
        <v>2.98</v>
      </c>
      <c r="T108" s="69">
        <f t="shared" si="17"/>
        <v>0.591887462574816</v>
      </c>
      <c r="U108" s="71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5">
        <v>0.15412896307067947</v>
      </c>
      <c r="S109" s="26"/>
      <c r="T109" s="69">
        <f t="shared" si="17"/>
        <v>2.127534554642431</v>
      </c>
      <c r="U109" s="71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4">
        <v>0.15412896307067947</v>
      </c>
      <c r="S110" s="18">
        <f>'[1]янв'!T111*2+'[1]март'!T111*4+'[1]июль'!T111*6</f>
        <v>15.406</v>
      </c>
      <c r="T110" s="69">
        <f t="shared" si="17"/>
        <v>2.127534554642431</v>
      </c>
      <c r="U110" s="71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4">
        <f>SUM(R112:R114)</f>
        <v>0.40848872646042367</v>
      </c>
      <c r="S111" s="18">
        <f>'[1]янв'!T112*2+'[1]март'!T112*4+'[1]июль'!T112*6</f>
        <v>43.566</v>
      </c>
      <c r="T111" s="69">
        <f t="shared" si="17"/>
        <v>5.638614984569104</v>
      </c>
      <c r="U111" s="71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5">
        <v>0.24022297239701543</v>
      </c>
      <c r="S112" s="26">
        <f>'[1]янв'!T113*2+'[1]март'!T113*4+'[1]июль'!T113*6</f>
        <v>26.388</v>
      </c>
      <c r="T112" s="69">
        <f t="shared" si="17"/>
        <v>3.3159418217794423</v>
      </c>
      <c r="U112" s="71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5">
        <v>0.16318166999151373</v>
      </c>
      <c r="S113" s="26">
        <f>'[1]янв'!T114*2+'[1]март'!T114*4+'[1]июль'!T114*6</f>
        <v>16.896</v>
      </c>
      <c r="T113" s="69">
        <f t="shared" si="17"/>
        <v>2.252494499894859</v>
      </c>
      <c r="U113" s="71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0.005084084071894507</v>
      </c>
      <c r="S114" s="26">
        <f>'[1]янв'!T115*2+'[1]март'!T115*4+'[1]июль'!T115*6</f>
        <v>0.28200000000000003</v>
      </c>
      <c r="T114" s="69">
        <f t="shared" si="17"/>
        <v>0.07017866289480301</v>
      </c>
      <c r="U114" s="71"/>
    </row>
    <row r="115" spans="1:20" s="48" customFormat="1" ht="15.75" customHeight="1">
      <c r="A115" s="49" t="s">
        <v>177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2">
        <v>0.68616</v>
      </c>
      <c r="S115" s="18">
        <f>'[1]янв'!T116*2+'[1]март'!T116*4+'[1]июль'!T116*6</f>
        <v>76.83</v>
      </c>
      <c r="T115" s="69">
        <f t="shared" si="17"/>
        <v>9.471478176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29" ref="C156:N156">C157+C162+C167+C168+C169+C170+C171+C172+C173+C174+C175</f>
        <v>0</v>
      </c>
      <c r="D156" s="21">
        <f t="shared" si="29"/>
        <v>0</v>
      </c>
      <c r="E156" s="21">
        <f t="shared" si="29"/>
        <v>0</v>
      </c>
      <c r="F156" s="30">
        <f t="shared" si="29"/>
        <v>0</v>
      </c>
      <c r="G156" s="31">
        <f t="shared" si="29"/>
        <v>0</v>
      </c>
      <c r="H156" s="31">
        <f t="shared" si="29"/>
        <v>0</v>
      </c>
      <c r="I156" s="31">
        <f t="shared" si="29"/>
        <v>0</v>
      </c>
      <c r="J156" s="31">
        <f t="shared" si="29"/>
        <v>0</v>
      </c>
      <c r="K156" s="31">
        <f t="shared" si="29"/>
        <v>0</v>
      </c>
      <c r="L156" s="31">
        <f t="shared" si="29"/>
        <v>0</v>
      </c>
      <c r="M156" s="31">
        <f t="shared" si="29"/>
        <v>0</v>
      </c>
      <c r="N156" s="32">
        <f t="shared" si="29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0" ref="C157:N157">C158+C159+C160+C161</f>
        <v>0</v>
      </c>
      <c r="D157" s="34">
        <f t="shared" si="30"/>
        <v>0</v>
      </c>
      <c r="E157" s="34">
        <f t="shared" si="30"/>
        <v>0</v>
      </c>
      <c r="F157" s="35">
        <f t="shared" si="30"/>
        <v>0</v>
      </c>
      <c r="G157" s="36">
        <f t="shared" si="30"/>
        <v>0</v>
      </c>
      <c r="H157" s="36">
        <f t="shared" si="30"/>
        <v>0</v>
      </c>
      <c r="I157" s="36">
        <f t="shared" si="30"/>
        <v>0</v>
      </c>
      <c r="J157" s="36">
        <f t="shared" si="30"/>
        <v>0</v>
      </c>
      <c r="K157" s="36">
        <f t="shared" si="30"/>
        <v>0</v>
      </c>
      <c r="L157" s="36">
        <f t="shared" si="30"/>
        <v>0</v>
      </c>
      <c r="M157" s="36">
        <f t="shared" si="30"/>
        <v>0</v>
      </c>
      <c r="N157" s="37">
        <f t="shared" si="30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1" ref="C162:N162">C163+C164+C165+C166</f>
        <v>0</v>
      </c>
      <c r="D162" s="34">
        <f t="shared" si="31"/>
        <v>0</v>
      </c>
      <c r="E162" s="34">
        <f t="shared" si="31"/>
        <v>0</v>
      </c>
      <c r="F162" s="35">
        <f t="shared" si="31"/>
        <v>0</v>
      </c>
      <c r="G162" s="36">
        <f t="shared" si="31"/>
        <v>0</v>
      </c>
      <c r="H162" s="36">
        <f t="shared" si="31"/>
        <v>0</v>
      </c>
      <c r="I162" s="36">
        <f t="shared" si="31"/>
        <v>0</v>
      </c>
      <c r="J162" s="36">
        <f t="shared" si="31"/>
        <v>0</v>
      </c>
      <c r="K162" s="36">
        <f t="shared" si="31"/>
        <v>0</v>
      </c>
      <c r="L162" s="36">
        <f t="shared" si="31"/>
        <v>0</v>
      </c>
      <c r="M162" s="36">
        <f t="shared" si="31"/>
        <v>0</v>
      </c>
      <c r="N162" s="37">
        <f t="shared" si="31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2" ref="C176:N176">C177+C182+C187+C188+C189+C190+C191+C192+C193+C194+C195</f>
        <v>0</v>
      </c>
      <c r="D176" s="21">
        <f t="shared" si="32"/>
        <v>0</v>
      </c>
      <c r="E176" s="21">
        <f t="shared" si="32"/>
        <v>0</v>
      </c>
      <c r="F176" s="30">
        <f t="shared" si="32"/>
        <v>0</v>
      </c>
      <c r="G176" s="31">
        <f t="shared" si="32"/>
        <v>0</v>
      </c>
      <c r="H176" s="31">
        <f t="shared" si="32"/>
        <v>0</v>
      </c>
      <c r="I176" s="31">
        <f t="shared" si="32"/>
        <v>0</v>
      </c>
      <c r="J176" s="31">
        <f t="shared" si="32"/>
        <v>0</v>
      </c>
      <c r="K176" s="31">
        <f t="shared" si="32"/>
        <v>0</v>
      </c>
      <c r="L176" s="31">
        <f t="shared" si="32"/>
        <v>0</v>
      </c>
      <c r="M176" s="31">
        <f t="shared" si="32"/>
        <v>0</v>
      </c>
      <c r="N176" s="32">
        <f t="shared" si="32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3" ref="C177:N177">C178+C179+C180+C181</f>
        <v>0</v>
      </c>
      <c r="D177" s="34">
        <f t="shared" si="33"/>
        <v>0</v>
      </c>
      <c r="E177" s="34">
        <f t="shared" si="33"/>
        <v>0</v>
      </c>
      <c r="F177" s="35">
        <f t="shared" si="33"/>
        <v>0</v>
      </c>
      <c r="G177" s="36">
        <f t="shared" si="33"/>
        <v>0</v>
      </c>
      <c r="H177" s="36">
        <f t="shared" si="33"/>
        <v>0</v>
      </c>
      <c r="I177" s="36">
        <f t="shared" si="33"/>
        <v>0</v>
      </c>
      <c r="J177" s="36">
        <f t="shared" si="33"/>
        <v>0</v>
      </c>
      <c r="K177" s="36">
        <f t="shared" si="33"/>
        <v>0</v>
      </c>
      <c r="L177" s="36">
        <f t="shared" si="33"/>
        <v>0</v>
      </c>
      <c r="M177" s="36">
        <f t="shared" si="33"/>
        <v>0</v>
      </c>
      <c r="N177" s="37">
        <f t="shared" si="33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4" ref="C182:N182">C183+C184+C185+C186</f>
        <v>0</v>
      </c>
      <c r="D182" s="34">
        <f t="shared" si="34"/>
        <v>0</v>
      </c>
      <c r="E182" s="34">
        <f t="shared" si="34"/>
        <v>0</v>
      </c>
      <c r="F182" s="35">
        <f t="shared" si="34"/>
        <v>0</v>
      </c>
      <c r="G182" s="36">
        <f t="shared" si="34"/>
        <v>0</v>
      </c>
      <c r="H182" s="36">
        <f t="shared" si="34"/>
        <v>0</v>
      </c>
      <c r="I182" s="36">
        <f t="shared" si="34"/>
        <v>0</v>
      </c>
      <c r="J182" s="36">
        <f t="shared" si="34"/>
        <v>0</v>
      </c>
      <c r="K182" s="36">
        <f t="shared" si="34"/>
        <v>0</v>
      </c>
      <c r="L182" s="36">
        <f t="shared" si="34"/>
        <v>0</v>
      </c>
      <c r="M182" s="36">
        <f t="shared" si="34"/>
        <v>0</v>
      </c>
      <c r="N182" s="37">
        <f t="shared" si="34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5" ref="C196:N196">C197+C198+C199+C200+C201+C202+C203+C204</f>
        <v>0</v>
      </c>
      <c r="D196" s="21">
        <f t="shared" si="35"/>
        <v>0</v>
      </c>
      <c r="E196" s="21">
        <f t="shared" si="35"/>
        <v>0</v>
      </c>
      <c r="F196" s="30">
        <f t="shared" si="35"/>
        <v>0</v>
      </c>
      <c r="G196" s="31">
        <f t="shared" si="35"/>
        <v>0</v>
      </c>
      <c r="H196" s="31">
        <f t="shared" si="35"/>
        <v>0</v>
      </c>
      <c r="I196" s="31">
        <f t="shared" si="35"/>
        <v>0</v>
      </c>
      <c r="J196" s="31">
        <f t="shared" si="35"/>
        <v>0</v>
      </c>
      <c r="K196" s="31">
        <f t="shared" si="35"/>
        <v>0</v>
      </c>
      <c r="L196" s="31">
        <f t="shared" si="35"/>
        <v>0</v>
      </c>
      <c r="M196" s="31">
        <f t="shared" si="35"/>
        <v>0</v>
      </c>
      <c r="N196" s="32">
        <f t="shared" si="35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6" ref="C205:N205">C206+C209+C210+C211+C212</f>
        <v>0</v>
      </c>
      <c r="D205" s="21">
        <f t="shared" si="36"/>
        <v>0</v>
      </c>
      <c r="E205" s="21">
        <f t="shared" si="36"/>
        <v>0</v>
      </c>
      <c r="F205" s="30">
        <f t="shared" si="36"/>
        <v>50</v>
      </c>
      <c r="G205" s="31">
        <f t="shared" si="36"/>
        <v>25</v>
      </c>
      <c r="H205" s="31">
        <f t="shared" si="36"/>
        <v>35</v>
      </c>
      <c r="I205" s="31">
        <f t="shared" si="36"/>
        <v>0</v>
      </c>
      <c r="J205" s="31">
        <f t="shared" si="36"/>
        <v>0</v>
      </c>
      <c r="K205" s="31">
        <f t="shared" si="36"/>
        <v>0</v>
      </c>
      <c r="L205" s="31">
        <f t="shared" si="36"/>
        <v>0</v>
      </c>
      <c r="M205" s="31">
        <f t="shared" si="36"/>
        <v>37</v>
      </c>
      <c r="N205" s="31">
        <f t="shared" si="36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7" ref="C206:N206">C207+C208</f>
        <v>0</v>
      </c>
      <c r="D206" s="34">
        <f t="shared" si="37"/>
        <v>0</v>
      </c>
      <c r="E206" s="34">
        <f t="shared" si="37"/>
        <v>0</v>
      </c>
      <c r="F206" s="35">
        <f t="shared" si="37"/>
        <v>0</v>
      </c>
      <c r="G206" s="36">
        <f t="shared" si="37"/>
        <v>0</v>
      </c>
      <c r="H206" s="36">
        <f t="shared" si="37"/>
        <v>0</v>
      </c>
      <c r="I206" s="36">
        <f t="shared" si="37"/>
        <v>0</v>
      </c>
      <c r="J206" s="36">
        <f t="shared" si="37"/>
        <v>0</v>
      </c>
      <c r="K206" s="36">
        <f t="shared" si="37"/>
        <v>0</v>
      </c>
      <c r="L206" s="36">
        <f t="shared" si="37"/>
        <v>0</v>
      </c>
      <c r="M206" s="36">
        <f t="shared" si="37"/>
        <v>0</v>
      </c>
      <c r="N206" s="37">
        <f t="shared" si="37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38" ref="C213:N213">C214+C215+C216+C217+C218+C219</f>
        <v>0</v>
      </c>
      <c r="D213" s="21">
        <f t="shared" si="38"/>
        <v>0</v>
      </c>
      <c r="E213" s="21">
        <f t="shared" si="38"/>
        <v>0</v>
      </c>
      <c r="F213" s="30">
        <f t="shared" si="38"/>
        <v>0</v>
      </c>
      <c r="G213" s="31">
        <f t="shared" si="38"/>
        <v>0</v>
      </c>
      <c r="H213" s="31">
        <f t="shared" si="38"/>
        <v>0</v>
      </c>
      <c r="I213" s="31">
        <f t="shared" si="38"/>
        <v>0</v>
      </c>
      <c r="J213" s="31">
        <f t="shared" si="38"/>
        <v>0</v>
      </c>
      <c r="K213" s="31">
        <f t="shared" si="38"/>
        <v>0</v>
      </c>
      <c r="L213" s="31">
        <f t="shared" si="38"/>
        <v>0</v>
      </c>
      <c r="M213" s="31">
        <f t="shared" si="38"/>
        <v>0</v>
      </c>
      <c r="N213" s="32">
        <f t="shared" si="38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</row>
    <row r="228" spans="15:16" ht="15.75" customHeight="1" hidden="1">
      <c r="O228" s="18">
        <f>'[1]янв'!O229*2+'[1]март'!O229*4+'[1]июль'!O229*6</f>
        <v>8799.562</v>
      </c>
      <c r="P228" s="56">
        <f>614.459-O228</f>
        <v>-8185.103</v>
      </c>
    </row>
    <row r="229" ht="15.75" customHeight="1" hidden="1">
      <c r="O229" s="18">
        <f>'[1]янв'!O230*2+'[1]март'!O230*4+'[1]июль'!O230*6</f>
        <v>2022.6480000000001</v>
      </c>
    </row>
    <row r="230" spans="15:16" ht="15.75" customHeight="1" hidden="1">
      <c r="O230" s="18">
        <f>'[1]янв'!O231*2+'[1]март'!O231*4+'[1]июль'!O231*6</f>
        <v>4299.968</v>
      </c>
      <c r="P230" s="1">
        <f>109842+8042</f>
        <v>117884</v>
      </c>
    </row>
    <row r="231" ht="15.75" customHeight="1" hidden="1">
      <c r="O231" s="18">
        <f>'[1]янв'!O232*2+'[1]март'!O232*4+'[1]июль'!O232*6</f>
        <v>0</v>
      </c>
    </row>
    <row r="232" ht="15.75" customHeight="1" hidden="1">
      <c r="O232" s="18">
        <f>'[1]янв'!O233*2+'[1]март'!O233*4+'[1]июль'!O233*6</f>
        <v>1368408</v>
      </c>
    </row>
    <row r="233" ht="15.75" customHeight="1" hidden="1">
      <c r="O233" s="18">
        <f>'[1]янв'!O234*2+'[1]март'!O234*4+'[1]июль'!O234*6</f>
        <v>971.3639999999999</v>
      </c>
    </row>
    <row r="234" ht="15.75" customHeight="1" hidden="1">
      <c r="O234" s="18">
        <f>'[1]янв'!O235*2+'[1]март'!O235*4+'[1]июль'!O235*6</f>
        <v>0</v>
      </c>
    </row>
    <row r="235" ht="15.75" customHeight="1" hidden="1">
      <c r="O235" s="18">
        <f>'[1]янв'!O236*2+'[1]март'!O236*4+'[1]июль'!O236*6</f>
        <v>0</v>
      </c>
    </row>
    <row r="236" spans="15:16" ht="15.75" customHeight="1" hidden="1">
      <c r="O236" s="18">
        <f>'[1]янв'!O237*2+'[1]март'!O237*4+'[1]июль'!O237*6</f>
        <v>8656.118</v>
      </c>
      <c r="P236" s="1" t="s">
        <v>164</v>
      </c>
    </row>
    <row r="237" spans="15:16" ht="15.75" customHeight="1" hidden="1">
      <c r="O237" s="18">
        <f>'[1]янв'!O238*2+'[1]март'!O238*4+'[1]июль'!O238*6</f>
        <v>1993.77</v>
      </c>
      <c r="P237" s="1" t="s">
        <v>165</v>
      </c>
    </row>
    <row r="238" spans="15:16" ht="15.75" customHeight="1" hidden="1">
      <c r="O238" s="18">
        <f>'[1]янв'!O239*2+'[1]март'!O239*4+'[1]июль'!O239*6</f>
        <v>4203.452</v>
      </c>
      <c r="P238" s="1" t="s">
        <v>166</v>
      </c>
    </row>
    <row r="239" ht="15.75" customHeight="1" hidden="1">
      <c r="O239" s="18">
        <f>'[1]янв'!O240*2+'[1]март'!O240*4+'[1]июль'!O240*6</f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</row>
    <row r="242" ht="15.75" customHeight="1" hidden="1">
      <c r="O242" s="18">
        <f>'[1]янв'!O243*2+'[1]март'!O243*4+'[1]июль'!O243*6</f>
        <v>0</v>
      </c>
    </row>
    <row r="243" spans="15:16" ht="15.75" customHeight="1" hidden="1">
      <c r="O243" s="18">
        <f>'[1]янв'!O244*2+'[1]март'!O244*4+'[1]июль'!O244*6</f>
        <v>1691.694</v>
      </c>
      <c r="P243" s="1" t="s">
        <v>168</v>
      </c>
    </row>
    <row r="244" spans="15:16" ht="15.75" customHeight="1" hidden="1">
      <c r="O244" s="18">
        <f>'[1]янв'!O245*2+'[1]март'!O245*4+'[1]июль'!O245*6</f>
        <v>8826.486</v>
      </c>
      <c r="P244" s="56" t="s">
        <v>164</v>
      </c>
    </row>
    <row r="245" spans="15:16" ht="15.75" customHeight="1" hidden="1">
      <c r="O245" s="18">
        <f>'[1]янв'!O246*2+'[1]март'!O246*4+'[1]июль'!O246*6</f>
        <v>2022.6480000000001</v>
      </c>
      <c r="P245" s="1" t="s">
        <v>165</v>
      </c>
    </row>
    <row r="246" ht="15.75" customHeight="1" hidden="1">
      <c r="O246" s="18">
        <f>'[1]янв'!O247*2+'[1]март'!O247*4+'[1]июль'!O247*6</f>
        <v>6073.58</v>
      </c>
    </row>
    <row r="247" spans="15:16" ht="15.75" customHeight="1" hidden="1">
      <c r="O247" s="18">
        <f>'[1]янв'!O248*2+'[1]март'!O248*4+'[1]июль'!O248*6</f>
        <v>1431.432</v>
      </c>
      <c r="P247" s="56"/>
    </row>
    <row r="248" spans="15:16" ht="15.75" customHeight="1" hidden="1">
      <c r="O248" s="18">
        <f>'[1]янв'!O249*2+'[1]март'!O249*4+'[1]июль'!O249*6</f>
        <v>4379.674</v>
      </c>
      <c r="P248" s="1" t="s">
        <v>168</v>
      </c>
    </row>
    <row r="249" ht="15.75" customHeight="1" hidden="1">
      <c r="O249" s="18">
        <f>'[1]янв'!O250*2+'[1]март'!O250*4+'[1]июль'!O250*6</f>
        <v>8826.486</v>
      </c>
    </row>
    <row r="250" ht="15.75" customHeight="1" hidden="1">
      <c r="O250" s="18">
        <f>'[1]янв'!O251*2+'[1]март'!O251*4+'[1]июль'!O251*6</f>
        <v>2028.067508</v>
      </c>
    </row>
    <row r="251" ht="15.75" customHeight="1" hidden="1">
      <c r="O251" s="18">
        <f>'[1]янв'!O252*2+'[1]март'!O252*4+'[1]июль'!O252*6</f>
        <v>0</v>
      </c>
    </row>
    <row r="252" spans="15:16" ht="15.75" customHeight="1" hidden="1">
      <c r="O252" s="18">
        <f>'[1]янв'!O253*2+'[1]март'!O253*4+'[1]июль'!O253*6</f>
        <v>3430.666</v>
      </c>
      <c r="P252" s="56" t="s">
        <v>169</v>
      </c>
    </row>
    <row r="253" spans="15:16" ht="15.75" customHeight="1" hidden="1">
      <c r="O253" s="18">
        <f>'[1]янв'!O254*2+'[1]март'!O254*4+'[1]июль'!O254*6</f>
        <v>772.7860000000001</v>
      </c>
      <c r="P253" s="1" t="s">
        <v>170</v>
      </c>
    </row>
    <row r="254" ht="15.75" customHeight="1" hidden="1">
      <c r="O254" s="18">
        <f>'[1]янв'!O255*2+'[1]март'!O255*4+'[1]июль'!O255*6</f>
        <v>4203.452</v>
      </c>
    </row>
    <row r="255" ht="15.75" customHeight="1" hidden="1">
      <c r="O255" s="18">
        <f>'[1]янв'!O256*2+'[1]март'!O256*4+'[1]июль'!O256*6</f>
        <v>1700.328</v>
      </c>
    </row>
    <row r="256" ht="15.75" customHeight="1" hidden="1">
      <c r="O256" s="18">
        <f>'[1]янв'!O257*2+'[1]март'!O257*4+'[1]июль'!O257*6</f>
        <v>-2503.124</v>
      </c>
    </row>
    <row r="257" ht="15.75" customHeight="1" hidden="1">
      <c r="O257" s="56">
        <f>O82+O87+O92+O96+O129</f>
        <v>8799.562</v>
      </c>
    </row>
    <row r="258" ht="15.75" customHeight="1" hidden="1">
      <c r="O258" s="56">
        <f>O83+O88+O93+O97+O130</f>
        <v>2022.6480000000001</v>
      </c>
    </row>
    <row r="259" ht="15.75" customHeight="1" hidden="1"/>
    <row r="260" ht="15.75" customHeight="1" hidden="1">
      <c r="O260" s="56">
        <f>O81+O91+O125+O126</f>
        <v>3430.666</v>
      </c>
    </row>
    <row r="261" spans="15:19" ht="15.75" customHeight="1" hidden="1">
      <c r="O261" s="56">
        <f>O91+O125+O126</f>
        <v>3400.7780000000002</v>
      </c>
      <c r="P261" s="56"/>
      <c r="Q261" s="56"/>
      <c r="R261" s="56"/>
      <c r="S261" s="56"/>
    </row>
    <row r="262" ht="15.75" customHeight="1" hidden="1">
      <c r="O262" s="56">
        <f>O86</f>
        <v>772.7860000000001</v>
      </c>
    </row>
    <row r="263" ht="15.75" customHeight="1" hidden="1">
      <c r="O263" s="56">
        <f>O82+O87+O92+O96+O129</f>
        <v>8799.562</v>
      </c>
    </row>
    <row r="264" ht="15.75" customHeight="1" hidden="1">
      <c r="O264" s="56">
        <f>O83+O88+O93+O97+O130</f>
        <v>2022.6480000000001</v>
      </c>
    </row>
    <row r="265" ht="15.75" customHeight="1" hidden="1">
      <c r="O265" s="56">
        <f>O81+O86+O91+O125+O126</f>
        <v>4203.452</v>
      </c>
    </row>
    <row r="266" ht="15.75" customHeight="1" hidden="1"/>
    <row r="267" spans="1:18" ht="15.75" customHeight="1">
      <c r="A267" s="66" t="s">
        <v>176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/>
      <c r="R267" s="68">
        <v>3.59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2021-02-09T11:58:10Z</dcterms:modified>
  <cp:category/>
  <cp:version/>
  <cp:contentType/>
  <cp:contentStatus/>
</cp:coreProperties>
</file>